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0" yWindow="0" windowWidth="28800" windowHeight="12300"/>
  </bookViews>
  <sheets>
    <sheet name="gifts" sheetId="1" r:id="rId1"/>
  </sheets>
  <definedNames>
    <definedName name="_xlnm.Print_Area" localSheetId="0">gifts!$A$1:$T$119</definedName>
  </definedNames>
  <calcPr calcId="162913"/>
</workbook>
</file>

<file path=xl/calcChain.xml><?xml version="1.0" encoding="utf-8"?>
<calcChain xmlns="http://schemas.openxmlformats.org/spreadsheetml/2006/main">
  <c r="S18" i="1" l="1"/>
  <c r="S12" i="1"/>
  <c r="R19" i="1" l="1"/>
  <c r="R18" i="1"/>
  <c r="R12" i="1"/>
  <c r="R13" i="1" s="1"/>
  <c r="R20" i="1" s="1"/>
  <c r="R23" i="1" s="1"/>
  <c r="R25" i="1" s="1"/>
  <c r="Q18" i="1" l="1"/>
  <c r="Q19" i="1" s="1"/>
  <c r="Q12" i="1"/>
  <c r="Q13" i="1" s="1"/>
  <c r="Q20" i="1" s="1"/>
  <c r="Q23" i="1" s="1"/>
  <c r="Q25" i="1" s="1"/>
  <c r="P25" i="1" l="1"/>
  <c r="P18" i="1"/>
  <c r="P19" i="1" s="1"/>
  <c r="P12" i="1"/>
  <c r="P13" i="1" s="1"/>
  <c r="P20" i="1" l="1"/>
  <c r="O18" i="1"/>
  <c r="O19" i="1" s="1"/>
  <c r="O12" i="1"/>
  <c r="O13" i="1" s="1"/>
  <c r="O25" i="1"/>
  <c r="N25" i="1"/>
  <c r="N18" i="1"/>
  <c r="N17" i="1"/>
  <c r="N16" i="1"/>
  <c r="N12" i="1"/>
  <c r="N11" i="1"/>
  <c r="N13" i="1" s="1"/>
  <c r="N19" i="1" l="1"/>
  <c r="N20" i="1" s="1"/>
  <c r="O20" i="1"/>
  <c r="M25" i="1"/>
  <c r="M18" i="1"/>
  <c r="M17" i="1"/>
  <c r="M16" i="1"/>
  <c r="M19" i="1" s="1"/>
  <c r="M12" i="1"/>
  <c r="M11" i="1"/>
  <c r="M13" i="1" s="1"/>
  <c r="M20" i="1" l="1"/>
  <c r="E18" i="1"/>
  <c r="E17" i="1"/>
  <c r="E16" i="1"/>
  <c r="E12" i="1"/>
  <c r="E11" i="1"/>
  <c r="D18" i="1"/>
  <c r="D17" i="1"/>
  <c r="D16" i="1"/>
  <c r="D12" i="1"/>
  <c r="D11" i="1"/>
  <c r="D13" i="1" s="1"/>
  <c r="F18" i="1"/>
  <c r="F17" i="1"/>
  <c r="F16" i="1"/>
  <c r="F12" i="1"/>
  <c r="F11" i="1"/>
  <c r="F25" i="1"/>
  <c r="E25" i="1"/>
  <c r="D25" i="1"/>
  <c r="E19" i="1" l="1"/>
  <c r="F13" i="1"/>
  <c r="D19" i="1"/>
  <c r="D20" i="1" s="1"/>
  <c r="E13" i="1"/>
  <c r="F19" i="1"/>
  <c r="F20" i="1"/>
  <c r="G18" i="1"/>
  <c r="G17" i="1"/>
  <c r="G16" i="1"/>
  <c r="G12" i="1"/>
  <c r="G11" i="1"/>
  <c r="H18" i="1"/>
  <c r="H17" i="1"/>
  <c r="H16" i="1"/>
  <c r="H12" i="1"/>
  <c r="H11" i="1"/>
  <c r="I18" i="1"/>
  <c r="I17" i="1"/>
  <c r="I16" i="1"/>
  <c r="I12" i="1"/>
  <c r="I11" i="1"/>
  <c r="J18" i="1"/>
  <c r="J19" i="1" s="1"/>
  <c r="J17" i="1"/>
  <c r="J16" i="1"/>
  <c r="J12" i="1"/>
  <c r="J11" i="1"/>
  <c r="K18" i="1"/>
  <c r="K17" i="1"/>
  <c r="K16" i="1"/>
  <c r="K12" i="1"/>
  <c r="K13" i="1" s="1"/>
  <c r="K11" i="1"/>
  <c r="K25" i="1"/>
  <c r="J25" i="1"/>
  <c r="I25" i="1"/>
  <c r="H25" i="1"/>
  <c r="G25" i="1"/>
  <c r="K19" i="1" l="1"/>
  <c r="K20" i="1" s="1"/>
  <c r="E20" i="1"/>
  <c r="I13" i="1"/>
  <c r="H19" i="1"/>
  <c r="H13" i="1"/>
  <c r="G19" i="1"/>
  <c r="J13" i="1"/>
  <c r="J20" i="1" s="1"/>
  <c r="I19" i="1"/>
  <c r="I20" i="1" s="1"/>
  <c r="G13" i="1"/>
  <c r="L18" i="1"/>
  <c r="L17" i="1"/>
  <c r="L16" i="1"/>
  <c r="L11" i="1"/>
  <c r="L12" i="1"/>
  <c r="L25" i="1"/>
  <c r="G20" i="1" l="1"/>
  <c r="H20" i="1"/>
  <c r="L19" i="1"/>
  <c r="S13" i="1"/>
  <c r="S19" i="1"/>
  <c r="L13" i="1"/>
  <c r="S20" i="1" l="1"/>
  <c r="S23" i="1" s="1"/>
  <c r="S25" i="1" s="1"/>
  <c r="L20" i="1"/>
</calcChain>
</file>

<file path=xl/sharedStrings.xml><?xml version="1.0" encoding="utf-8"?>
<sst xmlns="http://schemas.openxmlformats.org/spreadsheetml/2006/main" count="34" uniqueCount="34">
  <si>
    <t>UNIVERSITY OF MISSOURI-ST. LOUIS</t>
  </si>
  <si>
    <t>Individuals-</t>
  </si>
  <si>
    <t>Alumni</t>
  </si>
  <si>
    <t>Total Individuals</t>
  </si>
  <si>
    <t>Organizations-</t>
  </si>
  <si>
    <t>Foundations</t>
  </si>
  <si>
    <t>Total Organizations</t>
  </si>
  <si>
    <t>Total Sources</t>
  </si>
  <si>
    <t>Uses:</t>
  </si>
  <si>
    <t>Current Operations</t>
  </si>
  <si>
    <t>Capital Purposes</t>
  </si>
  <si>
    <t>Total Uses</t>
  </si>
  <si>
    <t>Other Organizations</t>
  </si>
  <si>
    <t>Sources:</t>
  </si>
  <si>
    <t>FY2012</t>
  </si>
  <si>
    <t>FY2013</t>
  </si>
  <si>
    <t>Corporations</t>
  </si>
  <si>
    <t>TABLE 7-2. GIFTS (In Thousands of Dollars)</t>
  </si>
  <si>
    <t>FY2011</t>
  </si>
  <si>
    <t>FY2010</t>
  </si>
  <si>
    <t>FY2009</t>
  </si>
  <si>
    <t>FY2008</t>
  </si>
  <si>
    <t>FY2007</t>
  </si>
  <si>
    <t>Other Individuals</t>
  </si>
  <si>
    <t>FY2006</t>
  </si>
  <si>
    <t>FY2005</t>
  </si>
  <si>
    <t>FY2004</t>
  </si>
  <si>
    <t>FY2014</t>
  </si>
  <si>
    <t>FY2015</t>
  </si>
  <si>
    <t>FY2016</t>
  </si>
  <si>
    <t>FY2017</t>
  </si>
  <si>
    <t>FY2018</t>
  </si>
  <si>
    <t>FY2019</t>
  </si>
  <si>
    <t>Source:  University of Missouri-St. Louis, Alumni Records and Development Systems, Higher Education Survey, The Voluntary Support for Education Program (FY2019)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</si>
</sst>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1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left" indent="3"/>
    </xf>
    <xf numFmtId="0" fontId="1" fillId="0" borderId="2" xfId="0" applyFont="1" applyBorder="1" applyAlignment="1">
      <alignment horizontal="right"/>
    </xf>
    <xf numFmtId="0" fontId="2" fillId="0" borderId="10" xfId="0" applyFont="1" applyBorder="1"/>
    <xf numFmtId="41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0" xfId="0" applyNumberFormat="1" applyFont="1" applyBorder="1"/>
    <xf numFmtId="41" fontId="2" fillId="0" borderId="0" xfId="0" applyNumberFormat="1" applyFont="1" applyBorder="1"/>
    <xf numFmtId="0" fontId="2" fillId="0" borderId="0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Gifts from Individuals</a:t>
            </a:r>
          </a:p>
        </c:rich>
      </c:tx>
      <c:layout>
        <c:manualLayout>
          <c:xMode val="edge"/>
          <c:yMode val="edge"/>
          <c:x val="0.37365997602900791"/>
          <c:y val="3.39943342776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82542113323124"/>
          <c:y val="0.19546742209631729"/>
          <c:w val="0.67284036752789866"/>
          <c:h val="0.600566572237960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gifts!$B$11</c:f>
              <c:strCache>
                <c:ptCount val="1"/>
                <c:pt idx="0">
                  <c:v>Alumni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gifts!$D$11:$S$11</c:f>
              <c:numCache>
                <c:formatCode>_("$"* #,##0_);_("$"* \(#,##0\);_("$"* "-"??_);_(@_)</c:formatCode>
                <c:ptCount val="10"/>
                <c:pt idx="0">
                  <c:v>1122.194</c:v>
                </c:pt>
                <c:pt idx="1">
                  <c:v>1649.473</c:v>
                </c:pt>
                <c:pt idx="2">
                  <c:v>1143.2339999999999</c:v>
                </c:pt>
                <c:pt idx="3">
                  <c:v>1523.6849999999999</c:v>
                </c:pt>
                <c:pt idx="4">
                  <c:v>2445.6289999999999</c:v>
                </c:pt>
                <c:pt idx="5">
                  <c:v>693.33199999999999</c:v>
                </c:pt>
                <c:pt idx="6">
                  <c:v>651.36699999999996</c:v>
                </c:pt>
                <c:pt idx="7">
                  <c:v>794.81299999999999</c:v>
                </c:pt>
                <c:pt idx="8">
                  <c:v>978.67399999999998</c:v>
                </c:pt>
                <c:pt idx="9">
                  <c:v>917.29100000000005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9-427E-AFBA-A950C2F3878E}"/>
            </c:ext>
          </c:extLst>
        </c:ser>
        <c:ser>
          <c:idx val="0"/>
          <c:order val="1"/>
          <c:tx>
            <c:strRef>
              <c:f>gifts!$B$12</c:f>
              <c:strCache>
                <c:ptCount val="1"/>
                <c:pt idx="0">
                  <c:v>Other Individuals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gifts!$D$12:$S$12</c:f>
              <c:numCache>
                <c:formatCode>_(* #,##0_);_(* \(#,##0\);_(* "-"_);_(@_)</c:formatCode>
                <c:ptCount val="10"/>
                <c:pt idx="0">
                  <c:v>4166.0950000000003</c:v>
                </c:pt>
                <c:pt idx="1">
                  <c:v>5574.3360000000002</c:v>
                </c:pt>
                <c:pt idx="2">
                  <c:v>5250.3720000000003</c:v>
                </c:pt>
                <c:pt idx="3">
                  <c:v>5812.9049999999997</c:v>
                </c:pt>
                <c:pt idx="4">
                  <c:v>5624.7609999999995</c:v>
                </c:pt>
                <c:pt idx="5">
                  <c:v>4396.5630000000001</c:v>
                </c:pt>
                <c:pt idx="6">
                  <c:v>5415.3980000000001</c:v>
                </c:pt>
                <c:pt idx="7">
                  <c:v>5382.7260000000006</c:v>
                </c:pt>
                <c:pt idx="8">
                  <c:v>5583.3790000000008</c:v>
                </c:pt>
                <c:pt idx="9">
                  <c:v>5689.1710000000003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9-427E-AFBA-A950C2F3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529216"/>
        <c:axId val="45417216"/>
      </c:barChart>
      <c:catAx>
        <c:axId val="1775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(In Thousands of Dollars)</a:t>
                </a:r>
              </a:p>
            </c:rich>
          </c:tx>
          <c:layout>
            <c:manualLayout>
              <c:xMode val="edge"/>
              <c:yMode val="edge"/>
              <c:x val="2.4502450199505411E-2"/>
              <c:y val="0.26912181303116145"/>
            </c:manualLayout>
          </c:layout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75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04876573199028"/>
          <c:y val="0.40982058545797923"/>
          <c:w val="0.13847500145136107"/>
          <c:h val="0.23391254563434527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Gifts from Organizations</a:t>
            </a:r>
          </a:p>
        </c:rich>
      </c:tx>
      <c:layout>
        <c:manualLayout>
          <c:xMode val="edge"/>
          <c:yMode val="edge"/>
          <c:x val="0.35518296404809863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71951219512196"/>
          <c:y val="0.19767441860465115"/>
          <c:w val="0.62686149379842371"/>
          <c:h val="0.59011627906976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gifts!$B$16</c:f>
              <c:strCache>
                <c:ptCount val="1"/>
                <c:pt idx="0">
                  <c:v>Foundations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gifts!$D$16:$S$16</c:f>
              <c:numCache>
                <c:formatCode>_(* #,##0_);_(* \(#,##0\);_(* "-"_);_(@_)</c:formatCode>
                <c:ptCount val="10"/>
                <c:pt idx="0">
                  <c:v>1820.095</c:v>
                </c:pt>
                <c:pt idx="1">
                  <c:v>1029.5430000000001</c:v>
                </c:pt>
                <c:pt idx="2">
                  <c:v>923.40800000000002</c:v>
                </c:pt>
                <c:pt idx="3">
                  <c:v>830.55</c:v>
                </c:pt>
                <c:pt idx="4">
                  <c:v>1473.913</c:v>
                </c:pt>
                <c:pt idx="5">
                  <c:v>671.21199999999999</c:v>
                </c:pt>
                <c:pt idx="6">
                  <c:v>842.11500000000001</c:v>
                </c:pt>
                <c:pt idx="7">
                  <c:v>808.11300000000006</c:v>
                </c:pt>
                <c:pt idx="8">
                  <c:v>1421.9580000000001</c:v>
                </c:pt>
                <c:pt idx="9">
                  <c:v>971.48099999999999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E-4129-BB64-0127FA3A930D}"/>
            </c:ext>
          </c:extLst>
        </c:ser>
        <c:ser>
          <c:idx val="1"/>
          <c:order val="1"/>
          <c:tx>
            <c:strRef>
              <c:f>gifts!$B$17</c:f>
              <c:strCache>
                <c:ptCount val="1"/>
                <c:pt idx="0">
                  <c:v>Corporations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gifts!$D$17:$S$17</c:f>
              <c:numCache>
                <c:formatCode>_(* #,##0_);_(* \(#,##0\);_(* "-"_);_(@_)</c:formatCode>
                <c:ptCount val="10"/>
                <c:pt idx="0">
                  <c:v>3260.3389999999999</c:v>
                </c:pt>
                <c:pt idx="1">
                  <c:v>4810.5950000000003</c:v>
                </c:pt>
                <c:pt idx="2">
                  <c:v>6185.5259999999998</c:v>
                </c:pt>
                <c:pt idx="3">
                  <c:v>5012.6109999999999</c:v>
                </c:pt>
                <c:pt idx="4">
                  <c:v>7410.46</c:v>
                </c:pt>
                <c:pt idx="5">
                  <c:v>2218.087</c:v>
                </c:pt>
                <c:pt idx="6">
                  <c:v>4555.9110000000001</c:v>
                </c:pt>
                <c:pt idx="7">
                  <c:v>2376.59</c:v>
                </c:pt>
                <c:pt idx="8">
                  <c:v>2877.373</c:v>
                </c:pt>
                <c:pt idx="9">
                  <c:v>3430.567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E-4129-BB64-0127FA3A930D}"/>
            </c:ext>
          </c:extLst>
        </c:ser>
        <c:ser>
          <c:idx val="2"/>
          <c:order val="2"/>
          <c:tx>
            <c:strRef>
              <c:f>gifts!$B$18</c:f>
              <c:strCache>
                <c:ptCount val="1"/>
                <c:pt idx="0">
                  <c:v>Other Organizations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gifts!$D$18:$S$18</c:f>
              <c:numCache>
                <c:formatCode>_(* #,##0_);_(* \(#,##0\);_(* "-"_);_(@_)</c:formatCode>
                <c:ptCount val="10"/>
                <c:pt idx="0">
                  <c:v>987.19999999999982</c:v>
                </c:pt>
                <c:pt idx="1">
                  <c:v>896.11</c:v>
                </c:pt>
                <c:pt idx="2">
                  <c:v>885.72700000000009</c:v>
                </c:pt>
                <c:pt idx="3">
                  <c:v>2241.7840000000001</c:v>
                </c:pt>
                <c:pt idx="4">
                  <c:v>816.43100000000004</c:v>
                </c:pt>
                <c:pt idx="5">
                  <c:v>852.26400000000001</c:v>
                </c:pt>
                <c:pt idx="6">
                  <c:v>1791.08</c:v>
                </c:pt>
                <c:pt idx="7">
                  <c:v>1241.26</c:v>
                </c:pt>
                <c:pt idx="8">
                  <c:v>1227.1580000000001</c:v>
                </c:pt>
                <c:pt idx="9">
                  <c:v>2292.2740000000003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BE-4129-BB64-0127FA3A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31424"/>
        <c:axId val="45433216"/>
      </c:barChart>
      <c:catAx>
        <c:axId val="454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543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33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(In Thousands of Dollars)</a:t>
                </a:r>
              </a:p>
            </c:rich>
          </c:tx>
          <c:layout>
            <c:manualLayout>
              <c:xMode val="edge"/>
              <c:yMode val="edge"/>
              <c:x val="2.5914515046084358E-2"/>
              <c:y val="0.25872093023255816"/>
            </c:manualLayout>
          </c:layout>
          <c:overlay val="0"/>
        </c:title>
        <c:numFmt formatCode="_(* #,##0_);_(* \(#,##0\);_(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43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82979355303358"/>
          <c:y val="0.40116279069767441"/>
          <c:w val="0.24766849688343412"/>
          <c:h val="0.20930232558139533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Gift Sources</a:t>
            </a:r>
          </a:p>
        </c:rich>
      </c:tx>
      <c:layout>
        <c:manualLayout>
          <c:xMode val="edge"/>
          <c:yMode val="edge"/>
          <c:x val="0.42442786354762424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091713451003"/>
          <c:y val="0.19767441860465115"/>
          <c:w val="0.62137450901606406"/>
          <c:h val="0.59302325581395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gifts!$B$13</c:f>
              <c:strCache>
                <c:ptCount val="1"/>
                <c:pt idx="0">
                  <c:v>Total Individuals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gifts!$D$13:$S$13</c:f>
              <c:numCache>
                <c:formatCode>_(* #,##0_);_(* \(#,##0\);_(* "-"_);_(@_)</c:formatCode>
                <c:ptCount val="10"/>
                <c:pt idx="0">
                  <c:v>5288.2890000000007</c:v>
                </c:pt>
                <c:pt idx="1">
                  <c:v>7223.8090000000002</c:v>
                </c:pt>
                <c:pt idx="2">
                  <c:v>6393.6059999999998</c:v>
                </c:pt>
                <c:pt idx="3">
                  <c:v>7336.59</c:v>
                </c:pt>
                <c:pt idx="4">
                  <c:v>8070.3899999999994</c:v>
                </c:pt>
                <c:pt idx="5">
                  <c:v>5089.8950000000004</c:v>
                </c:pt>
                <c:pt idx="6">
                  <c:v>6066.7650000000003</c:v>
                </c:pt>
                <c:pt idx="7">
                  <c:v>6177.5390000000007</c:v>
                </c:pt>
                <c:pt idx="8">
                  <c:v>6562.0530000000008</c:v>
                </c:pt>
                <c:pt idx="9">
                  <c:v>6606.4620000000004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9-45FC-87AD-758E635F6D2A}"/>
            </c:ext>
          </c:extLst>
        </c:ser>
        <c:ser>
          <c:idx val="1"/>
          <c:order val="1"/>
          <c:tx>
            <c:strRef>
              <c:f>gifts!$B$19</c:f>
              <c:strCache>
                <c:ptCount val="1"/>
                <c:pt idx="0">
                  <c:v>Total Organizations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gifts!$D$19:$S$19</c:f>
              <c:numCache>
                <c:formatCode>_("$"* #,##0_);_("$"* \(#,##0\);_("$"* "-"??_);_(@_)</c:formatCode>
                <c:ptCount val="10"/>
                <c:pt idx="0">
                  <c:v>6067.634</c:v>
                </c:pt>
                <c:pt idx="1">
                  <c:v>6736.2480000000005</c:v>
                </c:pt>
                <c:pt idx="2">
                  <c:v>7994.6610000000001</c:v>
                </c:pt>
                <c:pt idx="3">
                  <c:v>8084.9449999999997</c:v>
                </c:pt>
                <c:pt idx="4">
                  <c:v>9700.8040000000001</c:v>
                </c:pt>
                <c:pt idx="5">
                  <c:v>3741.5630000000001</c:v>
                </c:pt>
                <c:pt idx="6">
                  <c:v>7189.1059999999998</c:v>
                </c:pt>
                <c:pt idx="7">
                  <c:v>4425.9630000000006</c:v>
                </c:pt>
                <c:pt idx="8">
                  <c:v>5526.4890000000005</c:v>
                </c:pt>
                <c:pt idx="9">
                  <c:v>6694.3220000000001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9-45FC-87AD-758E635F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6384"/>
        <c:axId val="45470464"/>
      </c:barChart>
      <c:catAx>
        <c:axId val="454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547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0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(In Thousands of Dollars)</a:t>
                </a:r>
              </a:p>
            </c:rich>
          </c:tx>
          <c:layout>
            <c:manualLayout>
              <c:xMode val="edge"/>
              <c:yMode val="edge"/>
              <c:x val="2.4427557908973167E-2"/>
              <c:y val="0.26162790697674421"/>
            </c:manualLayout>
          </c:layout>
          <c:overlay val="0"/>
        </c:title>
        <c:numFmt formatCode="_(* #,##0_);_(* \(#,##0\);_(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45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626016726075176"/>
          <c:y val="0.43313953488372092"/>
          <c:w val="0.20152681788138926"/>
          <c:h val="0.125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Gift Uses</a:t>
            </a:r>
          </a:p>
        </c:rich>
      </c:tx>
      <c:layout>
        <c:manualLayout>
          <c:xMode val="edge"/>
          <c:yMode val="edge"/>
          <c:x val="0.44427527345108059"/>
          <c:y val="3.50877192982456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091713451003"/>
          <c:y val="0.1988309771078248"/>
          <c:w val="0.62595466510217757"/>
          <c:h val="0.59064496140853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gifts!$B$23</c:f>
              <c:strCache>
                <c:ptCount val="1"/>
                <c:pt idx="0">
                  <c:v>Current Operations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gifts!$D$23:$S$23</c:f>
              <c:numCache>
                <c:formatCode>_("$"* #,##0_);_("$"* \(#,##0\);_("$"* "-"??_);_(@_)</c:formatCode>
                <c:ptCount val="10"/>
                <c:pt idx="0">
                  <c:v>8350.8880000000008</c:v>
                </c:pt>
                <c:pt idx="1">
                  <c:v>7557.5330000000004</c:v>
                </c:pt>
                <c:pt idx="2">
                  <c:v>7850.6369999999997</c:v>
                </c:pt>
                <c:pt idx="3">
                  <c:v>10742.534</c:v>
                </c:pt>
                <c:pt idx="4">
                  <c:v>10589.414000000001</c:v>
                </c:pt>
                <c:pt idx="5">
                  <c:v>8831.4580000000005</c:v>
                </c:pt>
                <c:pt idx="6">
                  <c:v>13255.870999999999</c:v>
                </c:pt>
                <c:pt idx="7">
                  <c:v>10603.502</c:v>
                </c:pt>
                <c:pt idx="8">
                  <c:v>12088.542000000001</c:v>
                </c:pt>
                <c:pt idx="9">
                  <c:v>13300.784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B-4082-9FC4-2BBEEAC24BD0}"/>
            </c:ext>
          </c:extLst>
        </c:ser>
        <c:ser>
          <c:idx val="1"/>
          <c:order val="1"/>
          <c:tx>
            <c:strRef>
              <c:f>gifts!$B$24</c:f>
              <c:strCache>
                <c:ptCount val="1"/>
                <c:pt idx="0">
                  <c:v>Capital Purposes</c:v>
                </c:pt>
              </c:strCache>
            </c:strRef>
          </c:tx>
          <c:invertIfNegative val="0"/>
          <c:cat>
            <c:strRef>
              <c:f>gifts!$D$8:$S$8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gifts!$D$24:$S$24</c:f>
              <c:numCache>
                <c:formatCode>_(* #,##0_);_(* \(#,##0\);_(* "-"_);_(@_)</c:formatCode>
                <c:ptCount val="10"/>
                <c:pt idx="0">
                  <c:v>3005.0349999999999</c:v>
                </c:pt>
                <c:pt idx="1">
                  <c:v>6402.5240000000003</c:v>
                </c:pt>
                <c:pt idx="2">
                  <c:v>6537.63</c:v>
                </c:pt>
                <c:pt idx="3">
                  <c:v>4679.0010000000002</c:v>
                </c:pt>
                <c:pt idx="4">
                  <c:v>7181.78</c:v>
                </c:pt>
                <c:pt idx="5">
                  <c:v>6994.0069999999996</c:v>
                </c:pt>
                <c:pt idx="6">
                  <c:v>4980.7730000000001</c:v>
                </c:pt>
                <c:pt idx="7">
                  <c:v>3897.37</c:v>
                </c:pt>
                <c:pt idx="8">
                  <c:v>2603.625</c:v>
                </c:pt>
                <c:pt idx="9">
                  <c:v>3860.9059999999999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B-4082-9FC4-2BBEEAC2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0288"/>
        <c:axId val="45501824"/>
      </c:barChart>
      <c:catAx>
        <c:axId val="455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550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0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(In Thousands of Dollars)</a:t>
                </a:r>
              </a:p>
            </c:rich>
          </c:tx>
          <c:layout>
            <c:manualLayout>
              <c:xMode val="edge"/>
              <c:yMode val="edge"/>
              <c:x val="2.4427557908973167E-2"/>
              <c:y val="0.26023453208699787"/>
            </c:manualLayout>
          </c:layout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50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084031526626852"/>
          <c:y val="0.43274976592838177"/>
          <c:w val="0.19694682269519803"/>
          <c:h val="0.12573130113121822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29</xdr:row>
      <xdr:rowOff>152400</xdr:rowOff>
    </xdr:from>
    <xdr:to>
      <xdr:col>19</xdr:col>
      <xdr:colOff>19050</xdr:colOff>
      <xdr:row>50</xdr:row>
      <xdr:rowOff>114300</xdr:rowOff>
    </xdr:to>
    <xdr:graphicFrame macro="">
      <xdr:nvGraphicFramePr>
        <xdr:cNvPr id="111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52</xdr:row>
      <xdr:rowOff>152400</xdr:rowOff>
    </xdr:from>
    <xdr:to>
      <xdr:col>19</xdr:col>
      <xdr:colOff>0</xdr:colOff>
      <xdr:row>73</xdr:row>
      <xdr:rowOff>28575</xdr:rowOff>
    </xdr:to>
    <xdr:graphicFrame macro="">
      <xdr:nvGraphicFramePr>
        <xdr:cNvPr id="112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75</xdr:row>
      <xdr:rowOff>9525</xdr:rowOff>
    </xdr:from>
    <xdr:to>
      <xdr:col>19</xdr:col>
      <xdr:colOff>9525</xdr:colOff>
      <xdr:row>95</xdr:row>
      <xdr:rowOff>47625</xdr:rowOff>
    </xdr:to>
    <xdr:graphicFrame macro="">
      <xdr:nvGraphicFramePr>
        <xdr:cNvPr id="112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104775</xdr:colOff>
      <xdr:row>96</xdr:row>
      <xdr:rowOff>142875</xdr:rowOff>
    </xdr:from>
    <xdr:to>
      <xdr:col>19</xdr:col>
      <xdr:colOff>28575</xdr:colOff>
      <xdr:row>117</xdr:row>
      <xdr:rowOff>0</xdr:rowOff>
    </xdr:to>
    <xdr:graphicFrame macro="">
      <xdr:nvGraphicFramePr>
        <xdr:cNvPr id="112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1057275</xdr:colOff>
      <xdr:row>3</xdr:row>
      <xdr:rowOff>95250</xdr:rowOff>
    </xdr:to>
    <xdr:pic>
      <xdr:nvPicPr>
        <xdr:cNvPr id="1123" name="Picture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1450"/>
          <a:ext cx="952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showGridLines="0" tabSelected="1" zoomScaleNormal="100" zoomScaleSheetLayoutView="100" workbookViewId="0">
      <selection activeCell="S19" sqref="S19"/>
    </sheetView>
  </sheetViews>
  <sheetFormatPr defaultRowHeight="12.75" x14ac:dyDescent="0.2"/>
  <cols>
    <col min="1" max="1" width="2" style="5" customWidth="1"/>
    <col min="2" max="2" width="18.5703125" style="5" customWidth="1"/>
    <col min="3" max="3" width="1.140625" style="5" customWidth="1"/>
    <col min="4" max="9" width="9" style="5" hidden="1" customWidth="1"/>
    <col min="10" max="11" width="9" style="5" customWidth="1"/>
    <col min="12" max="18" width="8.85546875" style="5" customWidth="1"/>
    <col min="19" max="19" width="9" style="5" customWidth="1"/>
    <col min="20" max="20" width="2" style="5" customWidth="1"/>
    <col min="21" max="16384" width="9.140625" style="5"/>
  </cols>
  <sheetData>
    <row r="1" spans="1:23" ht="13.5" thickBot="1" x14ac:dyDescent="0.25">
      <c r="A1" s="8"/>
      <c r="B1" s="9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10"/>
      <c r="U1" s="7"/>
      <c r="V1" s="7"/>
      <c r="W1" s="7"/>
    </row>
    <row r="2" spans="1:23" ht="13.5" thickTop="1" x14ac:dyDescent="0.2">
      <c r="A2" s="11"/>
      <c r="B2" s="7"/>
      <c r="C2" s="1" t="s">
        <v>0</v>
      </c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12"/>
      <c r="U2" s="1"/>
      <c r="V2" s="1"/>
      <c r="W2" s="7"/>
    </row>
    <row r="3" spans="1:23" ht="13.5" thickBot="1" x14ac:dyDescent="0.25">
      <c r="A3" s="11"/>
      <c r="B3" s="7"/>
      <c r="C3" s="3" t="s">
        <v>17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2"/>
      <c r="U3" s="2"/>
      <c r="V3" s="2"/>
      <c r="W3" s="7"/>
    </row>
    <row r="4" spans="1:23" ht="13.5" thickTop="1" x14ac:dyDescent="0.2">
      <c r="A4" s="11"/>
      <c r="B4" s="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12"/>
      <c r="U4" s="2"/>
      <c r="V4" s="2"/>
      <c r="W4" s="7"/>
    </row>
    <row r="5" spans="1:23" x14ac:dyDescent="0.2">
      <c r="A5" s="11"/>
      <c r="B5" s="7"/>
      <c r="C5" s="7"/>
      <c r="D5" s="7"/>
      <c r="E5" s="7"/>
      <c r="F5" s="7"/>
      <c r="G5" s="7"/>
      <c r="H5" s="7"/>
      <c r="I5" s="7"/>
      <c r="J5" s="7"/>
      <c r="K5" s="7"/>
      <c r="L5" s="4"/>
      <c r="M5" s="4"/>
      <c r="N5" s="4"/>
      <c r="O5" s="4"/>
      <c r="P5" s="4"/>
      <c r="Q5" s="4"/>
      <c r="R5" s="4"/>
      <c r="S5" s="4"/>
      <c r="T5" s="14"/>
      <c r="U5" s="2"/>
      <c r="V5" s="2"/>
      <c r="W5" s="7"/>
    </row>
    <row r="6" spans="1:23" x14ac:dyDescent="0.2">
      <c r="A6" s="1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3"/>
    </row>
    <row r="7" spans="1:23" x14ac:dyDescent="0.2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3"/>
    </row>
    <row r="8" spans="1:23" s="7" customFormat="1" x14ac:dyDescent="0.2">
      <c r="A8" s="11"/>
      <c r="D8" s="21" t="s">
        <v>26</v>
      </c>
      <c r="E8" s="21" t="s">
        <v>25</v>
      </c>
      <c r="F8" s="21" t="s">
        <v>24</v>
      </c>
      <c r="G8" s="21" t="s">
        <v>22</v>
      </c>
      <c r="H8" s="21" t="s">
        <v>21</v>
      </c>
      <c r="I8" s="21" t="s">
        <v>20</v>
      </c>
      <c r="J8" s="21" t="s">
        <v>19</v>
      </c>
      <c r="K8" s="21" t="s">
        <v>18</v>
      </c>
      <c r="L8" s="21" t="s">
        <v>14</v>
      </c>
      <c r="M8" s="21" t="s">
        <v>15</v>
      </c>
      <c r="N8" s="21" t="s">
        <v>27</v>
      </c>
      <c r="O8" s="21" t="s">
        <v>28</v>
      </c>
      <c r="P8" s="21" t="s">
        <v>29</v>
      </c>
      <c r="Q8" s="21" t="s">
        <v>30</v>
      </c>
      <c r="R8" s="21" t="s">
        <v>31</v>
      </c>
      <c r="S8" s="21" t="s">
        <v>32</v>
      </c>
      <c r="T8" s="13"/>
    </row>
    <row r="9" spans="1:23" s="7" customFormat="1" x14ac:dyDescent="0.2">
      <c r="A9" s="11"/>
      <c r="B9" s="2" t="s">
        <v>13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3"/>
    </row>
    <row r="10" spans="1:23" s="7" customFormat="1" x14ac:dyDescent="0.2">
      <c r="A10" s="11"/>
      <c r="B10" s="15" t="s">
        <v>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3"/>
    </row>
    <row r="11" spans="1:23" s="7" customFormat="1" x14ac:dyDescent="0.2">
      <c r="A11" s="11"/>
      <c r="B11" s="18" t="s">
        <v>2</v>
      </c>
      <c r="D11" s="24">
        <f>278.74+63.828</f>
        <v>342.56799999999998</v>
      </c>
      <c r="E11" s="24">
        <f>182.564+366.485</f>
        <v>549.04899999999998</v>
      </c>
      <c r="F11" s="24">
        <f>307.902+94.427</f>
        <v>402.32900000000001</v>
      </c>
      <c r="G11" s="24">
        <f>387.311+147.59</f>
        <v>534.90099999999995</v>
      </c>
      <c r="H11" s="24">
        <f>444.499+310.847</f>
        <v>755.346</v>
      </c>
      <c r="I11" s="24">
        <f>463.192+183.336</f>
        <v>646.52800000000002</v>
      </c>
      <c r="J11" s="24">
        <f>562.667+559.527</f>
        <v>1122.194</v>
      </c>
      <c r="K11" s="24">
        <f>681.976+967.497</f>
        <v>1649.473</v>
      </c>
      <c r="L11" s="24">
        <f>524.438+618.796</f>
        <v>1143.2339999999999</v>
      </c>
      <c r="M11" s="24">
        <f>667.974+855.711</f>
        <v>1523.6849999999999</v>
      </c>
      <c r="N11" s="24">
        <f t="shared" ref="N11" si="0">762.674+1682.955</f>
        <v>2445.6289999999999</v>
      </c>
      <c r="O11" s="24">
        <v>693.33199999999999</v>
      </c>
      <c r="P11" s="24">
        <v>651.36699999999996</v>
      </c>
      <c r="Q11" s="24">
        <v>794.81299999999999</v>
      </c>
      <c r="R11" s="24">
        <v>978.67399999999998</v>
      </c>
      <c r="S11" s="24">
        <v>917.29100000000005</v>
      </c>
      <c r="T11" s="13"/>
    </row>
    <row r="12" spans="1:23" s="7" customFormat="1" x14ac:dyDescent="0.2">
      <c r="A12" s="11"/>
      <c r="B12" s="18" t="s">
        <v>23</v>
      </c>
      <c r="D12" s="26">
        <f>0.06+566.852+2208.548</f>
        <v>2775.4599999999996</v>
      </c>
      <c r="E12" s="26">
        <f>670.745+372.252</f>
        <v>1042.9970000000001</v>
      </c>
      <c r="F12" s="26">
        <f>662.702+1947.403</f>
        <v>2610.105</v>
      </c>
      <c r="G12" s="26">
        <f>14.145+856.162+0.15+1326.387</f>
        <v>2196.8440000000001</v>
      </c>
      <c r="H12" s="26">
        <f>22.528+747.074+1213.712</f>
        <v>1983.3139999999999</v>
      </c>
      <c r="I12" s="26">
        <f>15.069+3931.619+0.089+438.039</f>
        <v>4384.8159999999998</v>
      </c>
      <c r="J12" s="26">
        <f>20.865+3246.407+0.056+898.767</f>
        <v>4166.0950000000003</v>
      </c>
      <c r="K12" s="26">
        <f>20.311+3711.315+1.134+1841.576</f>
        <v>5574.3360000000002</v>
      </c>
      <c r="L12" s="26">
        <f>16.369+3066.596+0.25+2167.157</f>
        <v>5250.3720000000003</v>
      </c>
      <c r="M12" s="26">
        <f>41.423+4353.68+23.155+1394.647</f>
        <v>5812.9049999999997</v>
      </c>
      <c r="N12" s="26">
        <f t="shared" ref="N12" si="1">22.365+4368.59+19.418+1214.388</f>
        <v>5624.7609999999995</v>
      </c>
      <c r="O12" s="26">
        <f>11.185+4385.378</f>
        <v>4396.5630000000001</v>
      </c>
      <c r="P12" s="26">
        <f>11.426+5403.972</f>
        <v>5415.3980000000001</v>
      </c>
      <c r="Q12" s="26">
        <f>12.537+5370.189</f>
        <v>5382.7260000000006</v>
      </c>
      <c r="R12" s="26">
        <f>11.078+5572.301</f>
        <v>5583.3790000000008</v>
      </c>
      <c r="S12" s="26">
        <f>11.417+5677.754</f>
        <v>5689.1710000000003</v>
      </c>
      <c r="T12" s="13"/>
    </row>
    <row r="13" spans="1:23" s="7" customFormat="1" x14ac:dyDescent="0.2">
      <c r="A13" s="11"/>
      <c r="B13" s="15" t="s">
        <v>3</v>
      </c>
      <c r="D13" s="23">
        <f t="shared" ref="D13:F13" si="2">SUM(D11:D12)</f>
        <v>3118.0279999999993</v>
      </c>
      <c r="E13" s="23">
        <f t="shared" si="2"/>
        <v>1592.046</v>
      </c>
      <c r="F13" s="23">
        <f t="shared" si="2"/>
        <v>3012.4340000000002</v>
      </c>
      <c r="G13" s="23">
        <f t="shared" ref="G13:K13" si="3">SUM(G11:G12)</f>
        <v>2731.7449999999999</v>
      </c>
      <c r="H13" s="23">
        <f t="shared" si="3"/>
        <v>2738.66</v>
      </c>
      <c r="I13" s="23">
        <f t="shared" si="3"/>
        <v>5031.3440000000001</v>
      </c>
      <c r="J13" s="23">
        <f t="shared" si="3"/>
        <v>5288.2890000000007</v>
      </c>
      <c r="K13" s="23">
        <f t="shared" si="3"/>
        <v>7223.8090000000002</v>
      </c>
      <c r="L13" s="23">
        <f>SUM(L11:L12)</f>
        <v>6393.6059999999998</v>
      </c>
      <c r="M13" s="23">
        <f>SUM(M11:M12)</f>
        <v>7336.59</v>
      </c>
      <c r="N13" s="23">
        <f t="shared" ref="N13:O13" si="4">SUM(N11:N12)</f>
        <v>8070.3899999999994</v>
      </c>
      <c r="O13" s="23">
        <f t="shared" si="4"/>
        <v>5089.8950000000004</v>
      </c>
      <c r="P13" s="23">
        <f>SUM(P11:P12)</f>
        <v>6066.7650000000003</v>
      </c>
      <c r="Q13" s="23">
        <f>SUM(Q11:Q12)</f>
        <v>6177.5390000000007</v>
      </c>
      <c r="R13" s="23">
        <f>SUM(R11:R12)</f>
        <v>6562.0530000000008</v>
      </c>
      <c r="S13" s="23">
        <f>SUM(S11:S12)</f>
        <v>6606.4620000000004</v>
      </c>
      <c r="T13" s="13"/>
    </row>
    <row r="14" spans="1:23" s="7" customFormat="1" x14ac:dyDescent="0.2">
      <c r="A14" s="11"/>
      <c r="B14" s="1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13"/>
    </row>
    <row r="15" spans="1:23" s="7" customFormat="1" x14ac:dyDescent="0.2">
      <c r="A15" s="11"/>
      <c r="B15" s="15" t="s">
        <v>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13"/>
    </row>
    <row r="16" spans="1:23" s="7" customFormat="1" x14ac:dyDescent="0.2">
      <c r="A16" s="11"/>
      <c r="B16" s="18" t="s">
        <v>5</v>
      </c>
      <c r="D16" s="23">
        <f>645.547+573.49</f>
        <v>1219.037</v>
      </c>
      <c r="E16" s="23">
        <f>387.028+160.222</f>
        <v>547.25</v>
      </c>
      <c r="F16" s="23">
        <f>478.088+41.765</f>
        <v>519.85300000000007</v>
      </c>
      <c r="G16" s="23">
        <f>575.043+193.455</f>
        <v>768.49800000000005</v>
      </c>
      <c r="H16" s="23">
        <f>520.112+681.393</f>
        <v>1201.5050000000001</v>
      </c>
      <c r="I16" s="23">
        <f>887.458+3227.523</f>
        <v>4114.9809999999998</v>
      </c>
      <c r="J16" s="23">
        <f>1526.895+293.2</f>
        <v>1820.095</v>
      </c>
      <c r="K16" s="23">
        <f>593.606+435.937</f>
        <v>1029.5430000000001</v>
      </c>
      <c r="L16" s="23">
        <f>574.077+349.331</f>
        <v>923.40800000000002</v>
      </c>
      <c r="M16" s="23">
        <f>539.822+290.728</f>
        <v>830.55</v>
      </c>
      <c r="N16" s="23">
        <f t="shared" ref="N16" si="5">784.783+689.13</f>
        <v>1473.913</v>
      </c>
      <c r="O16" s="23">
        <v>671.21199999999999</v>
      </c>
      <c r="P16" s="23">
        <v>842.11500000000001</v>
      </c>
      <c r="Q16" s="23">
        <v>808.11300000000006</v>
      </c>
      <c r="R16" s="23">
        <v>1421.9580000000001</v>
      </c>
      <c r="S16" s="23">
        <v>971.48099999999999</v>
      </c>
      <c r="T16" s="13"/>
    </row>
    <row r="17" spans="1:22" s="7" customFormat="1" x14ac:dyDescent="0.2">
      <c r="A17" s="11"/>
      <c r="B17" s="18" t="s">
        <v>16</v>
      </c>
      <c r="D17" s="23">
        <f>2187.383+48.955</f>
        <v>2236.3379999999997</v>
      </c>
      <c r="E17" s="23">
        <f>1736.945+229.683</f>
        <v>1966.6279999999999</v>
      </c>
      <c r="F17" s="23">
        <f>1955.14+82.735</f>
        <v>2037.875</v>
      </c>
      <c r="G17" s="23">
        <f>2231.489+505.925</f>
        <v>2737.4140000000002</v>
      </c>
      <c r="H17" s="23">
        <f>1924.84+289.81</f>
        <v>2214.65</v>
      </c>
      <c r="I17" s="23">
        <f>2133.82+801.472</f>
        <v>2935.2920000000004</v>
      </c>
      <c r="J17" s="23">
        <f>2372.753+887.586</f>
        <v>3260.3389999999999</v>
      </c>
      <c r="K17" s="23">
        <f>1691.03+3119.565</f>
        <v>4810.5950000000003</v>
      </c>
      <c r="L17" s="23">
        <f>2816.352+3369.174</f>
        <v>6185.5259999999998</v>
      </c>
      <c r="M17" s="23">
        <f>2938.903+2073.708</f>
        <v>5012.6109999999999</v>
      </c>
      <c r="N17" s="23">
        <f t="shared" ref="N17" si="6">3855.044+3555.416</f>
        <v>7410.46</v>
      </c>
      <c r="O17" s="23">
        <v>2218.087</v>
      </c>
      <c r="P17" s="23">
        <v>4555.9110000000001</v>
      </c>
      <c r="Q17" s="23">
        <v>2376.59</v>
      </c>
      <c r="R17" s="23">
        <v>2877.373</v>
      </c>
      <c r="S17" s="23">
        <v>3430.567</v>
      </c>
      <c r="T17" s="13"/>
    </row>
    <row r="18" spans="1:22" s="7" customFormat="1" x14ac:dyDescent="0.2">
      <c r="A18" s="11"/>
      <c r="B18" s="18" t="s">
        <v>12</v>
      </c>
      <c r="D18" s="26">
        <f>0.975+6505.459+31.958</f>
        <v>6538.3919999999998</v>
      </c>
      <c r="E18" s="26">
        <f>0.4+1821.022+4651.182</f>
        <v>6472.6039999999994</v>
      </c>
      <c r="F18" s="26">
        <f>6.36+1+5217.063+0.075+44.002</f>
        <v>5268.5</v>
      </c>
      <c r="G18" s="26">
        <f>12.992+1.478+2102.036+142.627</f>
        <v>2259.1329999999998</v>
      </c>
      <c r="H18" s="26">
        <f>10.646+0.488+2608.162+64.162</f>
        <v>2683.4579999999996</v>
      </c>
      <c r="I18" s="26">
        <f>10.85+0.946+1078.785+0.1+55.514</f>
        <v>1146.1949999999999</v>
      </c>
      <c r="J18" s="26">
        <f>1.632+0.326+619.343+0.31+365.589</f>
        <v>987.19999999999982</v>
      </c>
      <c r="K18" s="26">
        <f>44.582+0.718+813.995+0.1+36.715</f>
        <v>896.11</v>
      </c>
      <c r="L18" s="26">
        <f>48.368+2.5+801.937+32.922</f>
        <v>885.72700000000009</v>
      </c>
      <c r="M18" s="26">
        <f>48.658+2152.074+41.052</f>
        <v>2241.7840000000001</v>
      </c>
      <c r="N18" s="26">
        <f t="shared" ref="N18" si="7">51.201+0.85+743.907+20.473</f>
        <v>816.43100000000004</v>
      </c>
      <c r="O18" s="26">
        <f>40.679+4.998+806.587</f>
        <v>852.26400000000001</v>
      </c>
      <c r="P18" s="26">
        <f>68.269+1.5+1721.311</f>
        <v>1791.08</v>
      </c>
      <c r="Q18" s="26">
        <f>68.942+3+1169.318</f>
        <v>1241.26</v>
      </c>
      <c r="R18" s="26">
        <f>44.737+3+1179.421</f>
        <v>1227.1580000000001</v>
      </c>
      <c r="S18" s="26">
        <f>67.193+3+2222.081</f>
        <v>2292.2740000000003</v>
      </c>
      <c r="T18" s="13"/>
    </row>
    <row r="19" spans="1:22" s="7" customFormat="1" x14ac:dyDescent="0.2">
      <c r="A19" s="11"/>
      <c r="B19" s="15" t="s">
        <v>6</v>
      </c>
      <c r="D19" s="27">
        <f t="shared" ref="D19:F19" si="8">SUM(D16:D18)</f>
        <v>9993.7669999999998</v>
      </c>
      <c r="E19" s="27">
        <f t="shared" si="8"/>
        <v>8986.482</v>
      </c>
      <c r="F19" s="27">
        <f t="shared" si="8"/>
        <v>7826.2280000000001</v>
      </c>
      <c r="G19" s="27">
        <f t="shared" ref="G19:K19" si="9">SUM(G16:G18)</f>
        <v>5765.0450000000001</v>
      </c>
      <c r="H19" s="27">
        <f t="shared" si="9"/>
        <v>6099.6129999999994</v>
      </c>
      <c r="I19" s="27">
        <f t="shared" si="9"/>
        <v>8196.4680000000008</v>
      </c>
      <c r="J19" s="27">
        <f t="shared" si="9"/>
        <v>6067.634</v>
      </c>
      <c r="K19" s="27">
        <f t="shared" si="9"/>
        <v>6736.2480000000005</v>
      </c>
      <c r="L19" s="27">
        <f>SUM(L16:L18)</f>
        <v>7994.6610000000001</v>
      </c>
      <c r="M19" s="27">
        <f>SUM(M16:M18)</f>
        <v>8084.9449999999997</v>
      </c>
      <c r="N19" s="27">
        <f t="shared" ref="N19:O19" si="10">SUM(N16:N18)</f>
        <v>9700.8040000000001</v>
      </c>
      <c r="O19" s="27">
        <f t="shared" si="10"/>
        <v>3741.5630000000001</v>
      </c>
      <c r="P19" s="27">
        <f>SUM(P16:P18)</f>
        <v>7189.1059999999998</v>
      </c>
      <c r="Q19" s="27">
        <f>SUM(Q16:Q18)</f>
        <v>4425.9630000000006</v>
      </c>
      <c r="R19" s="27">
        <f>SUM(R16:R18)</f>
        <v>5526.4890000000005</v>
      </c>
      <c r="S19" s="27">
        <f>SUM(S16:S18)</f>
        <v>6694.3220000000001</v>
      </c>
      <c r="T19" s="13"/>
      <c r="V19" s="29"/>
    </row>
    <row r="20" spans="1:22" s="7" customFormat="1" ht="13.5" thickBot="1" x14ac:dyDescent="0.25">
      <c r="A20" s="20"/>
      <c r="B20" s="4" t="s">
        <v>7</v>
      </c>
      <c r="D20" s="25">
        <f t="shared" ref="D20:F20" si="11">D13+D19</f>
        <v>13111.794999999998</v>
      </c>
      <c r="E20" s="25">
        <f t="shared" si="11"/>
        <v>10578.528</v>
      </c>
      <c r="F20" s="25">
        <f t="shared" si="11"/>
        <v>10838.662</v>
      </c>
      <c r="G20" s="25">
        <f t="shared" ref="G20:K20" si="12">G13+G19</f>
        <v>8496.7900000000009</v>
      </c>
      <c r="H20" s="25">
        <f t="shared" si="12"/>
        <v>8838.2729999999992</v>
      </c>
      <c r="I20" s="25">
        <f t="shared" si="12"/>
        <v>13227.812000000002</v>
      </c>
      <c r="J20" s="25">
        <f t="shared" si="12"/>
        <v>11355.923000000001</v>
      </c>
      <c r="K20" s="25">
        <f t="shared" si="12"/>
        <v>13960.057000000001</v>
      </c>
      <c r="L20" s="25">
        <f>L13+L19</f>
        <v>14388.267</v>
      </c>
      <c r="M20" s="25">
        <f>M13+M19</f>
        <v>15421.535</v>
      </c>
      <c r="N20" s="25">
        <f t="shared" ref="N20:O20" si="13">N13+N19</f>
        <v>17771.194</v>
      </c>
      <c r="O20" s="25">
        <f t="shared" si="13"/>
        <v>8831.4580000000005</v>
      </c>
      <c r="P20" s="25">
        <f>P13+P19</f>
        <v>13255.870999999999</v>
      </c>
      <c r="Q20" s="25">
        <f>Q13+Q19</f>
        <v>10603.502</v>
      </c>
      <c r="R20" s="25">
        <f>R13+R19</f>
        <v>12088.542000000001</v>
      </c>
      <c r="S20" s="25">
        <f>S13+S19</f>
        <v>13300.784</v>
      </c>
      <c r="T20" s="13"/>
    </row>
    <row r="21" spans="1:22" s="7" customFormat="1" ht="13.5" thickTop="1" x14ac:dyDescent="0.2">
      <c r="A21" s="11"/>
      <c r="B21" s="15"/>
      <c r="T21" s="13"/>
    </row>
    <row r="22" spans="1:22" s="7" customFormat="1" x14ac:dyDescent="0.2">
      <c r="A22" s="11"/>
      <c r="B22" s="2" t="s">
        <v>8</v>
      </c>
      <c r="T22" s="13"/>
    </row>
    <row r="23" spans="1:22" s="7" customFormat="1" x14ac:dyDescent="0.2">
      <c r="A23" s="11"/>
      <c r="B23" s="15" t="s">
        <v>9</v>
      </c>
      <c r="D23" s="24">
        <v>10185.016</v>
      </c>
      <c r="E23" s="24">
        <v>4798.7039999999997</v>
      </c>
      <c r="F23" s="24">
        <v>8628.2549999999992</v>
      </c>
      <c r="G23" s="24">
        <v>6180.6559999999999</v>
      </c>
      <c r="H23" s="24">
        <v>6278.3490000000002</v>
      </c>
      <c r="I23" s="24">
        <v>8521.7389999999996</v>
      </c>
      <c r="J23" s="24">
        <v>8350.8880000000008</v>
      </c>
      <c r="K23" s="24">
        <v>7557.5330000000004</v>
      </c>
      <c r="L23" s="24">
        <v>7850.6369999999997</v>
      </c>
      <c r="M23" s="24">
        <v>10742.534</v>
      </c>
      <c r="N23" s="24">
        <v>10589.414000000001</v>
      </c>
      <c r="O23" s="24">
        <v>8831.4580000000005</v>
      </c>
      <c r="P23" s="24">
        <v>13255.870999999999</v>
      </c>
      <c r="Q23" s="24">
        <f>Q20</f>
        <v>10603.502</v>
      </c>
      <c r="R23" s="24">
        <f>R20</f>
        <v>12088.542000000001</v>
      </c>
      <c r="S23" s="24">
        <f>S20</f>
        <v>13300.784</v>
      </c>
      <c r="T23" s="13"/>
    </row>
    <row r="24" spans="1:22" s="7" customFormat="1" x14ac:dyDescent="0.2">
      <c r="A24" s="11"/>
      <c r="B24" s="15" t="s">
        <v>10</v>
      </c>
      <c r="D24" s="23">
        <v>2926.779</v>
      </c>
      <c r="E24" s="23">
        <v>5779.8239999999996</v>
      </c>
      <c r="F24" s="23">
        <v>2210.4070000000002</v>
      </c>
      <c r="G24" s="23">
        <v>2316.134</v>
      </c>
      <c r="H24" s="23">
        <v>2559.924</v>
      </c>
      <c r="I24" s="23">
        <v>4706.0730000000003</v>
      </c>
      <c r="J24" s="23">
        <v>3005.0349999999999</v>
      </c>
      <c r="K24" s="23">
        <v>6402.5240000000003</v>
      </c>
      <c r="L24" s="23">
        <v>6537.63</v>
      </c>
      <c r="M24" s="23">
        <v>4679.0010000000002</v>
      </c>
      <c r="N24" s="23">
        <v>7181.78</v>
      </c>
      <c r="O24" s="23">
        <v>6994.0069999999996</v>
      </c>
      <c r="P24" s="23">
        <v>4980.7730000000001</v>
      </c>
      <c r="Q24" s="23">
        <v>3897.37</v>
      </c>
      <c r="R24" s="23">
        <v>2603.625</v>
      </c>
      <c r="S24" s="23">
        <v>3860.9059999999999</v>
      </c>
      <c r="T24" s="13"/>
    </row>
    <row r="25" spans="1:22" s="7" customFormat="1" ht="13.5" thickBot="1" x14ac:dyDescent="0.25">
      <c r="A25" s="11"/>
      <c r="B25" s="4" t="s">
        <v>11</v>
      </c>
      <c r="D25" s="25">
        <f t="shared" ref="D25:F25" si="14">SUM(D23:D24)</f>
        <v>13111.795</v>
      </c>
      <c r="E25" s="25">
        <f t="shared" si="14"/>
        <v>10578.527999999998</v>
      </c>
      <c r="F25" s="25">
        <f t="shared" si="14"/>
        <v>10838.662</v>
      </c>
      <c r="G25" s="25">
        <f t="shared" ref="G25:K25" si="15">SUM(G23:G24)</f>
        <v>8496.7900000000009</v>
      </c>
      <c r="H25" s="25">
        <f t="shared" si="15"/>
        <v>8838.273000000001</v>
      </c>
      <c r="I25" s="25">
        <f t="shared" si="15"/>
        <v>13227.812</v>
      </c>
      <c r="J25" s="25">
        <f t="shared" si="15"/>
        <v>11355.923000000001</v>
      </c>
      <c r="K25" s="25">
        <f t="shared" si="15"/>
        <v>13960.057000000001</v>
      </c>
      <c r="L25" s="25">
        <f>SUM(L23:L24)</f>
        <v>14388.267</v>
      </c>
      <c r="M25" s="25">
        <f>SUM(M23:M24)</f>
        <v>15421.535</v>
      </c>
      <c r="N25" s="25">
        <f t="shared" ref="N25:O25" si="16">SUM(N23:N24)</f>
        <v>17771.194</v>
      </c>
      <c r="O25" s="25">
        <f t="shared" si="16"/>
        <v>15825.465</v>
      </c>
      <c r="P25" s="25">
        <f>SUM(P23:P24)</f>
        <v>18236.644</v>
      </c>
      <c r="Q25" s="25">
        <f>SUM(Q23:Q24)</f>
        <v>14500.871999999999</v>
      </c>
      <c r="R25" s="25">
        <f>SUM(R23:R24)</f>
        <v>14692.167000000001</v>
      </c>
      <c r="S25" s="25">
        <f>SUM(S23:S24)</f>
        <v>17161.689999999999</v>
      </c>
      <c r="T25" s="13"/>
    </row>
    <row r="26" spans="1:22" s="7" customFormat="1" ht="13.5" thickTop="1" x14ac:dyDescent="0.2">
      <c r="A26" s="11"/>
      <c r="B26" s="15"/>
      <c r="T26" s="13"/>
    </row>
    <row r="27" spans="1:22" s="7" customFormat="1" x14ac:dyDescent="0.2">
      <c r="A27" s="11"/>
      <c r="B27" s="15"/>
      <c r="E27" s="28"/>
      <c r="T27" s="13"/>
    </row>
    <row r="28" spans="1:22" ht="25.5" customHeight="1" x14ac:dyDescent="0.2">
      <c r="A28" s="11"/>
      <c r="B28" s="30" t="s">
        <v>33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13"/>
    </row>
    <row r="29" spans="1:22" x14ac:dyDescent="0.2">
      <c r="A29" s="1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13"/>
    </row>
    <row r="30" spans="1:22" x14ac:dyDescent="0.2">
      <c r="A30" s="1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3"/>
    </row>
    <row r="31" spans="1:22" x14ac:dyDescent="0.2">
      <c r="A31" s="1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13"/>
    </row>
    <row r="32" spans="1:22" x14ac:dyDescent="0.2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3"/>
    </row>
    <row r="33" spans="1:20" x14ac:dyDescent="0.2">
      <c r="A33" s="1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3"/>
    </row>
    <row r="34" spans="1:20" x14ac:dyDescent="0.2">
      <c r="A34" s="1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3"/>
    </row>
    <row r="35" spans="1:20" x14ac:dyDescent="0.2">
      <c r="A35" s="1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13"/>
    </row>
    <row r="36" spans="1:20" x14ac:dyDescent="0.2">
      <c r="A36" s="1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13"/>
    </row>
    <row r="37" spans="1:20" x14ac:dyDescent="0.2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3"/>
    </row>
    <row r="38" spans="1:20" x14ac:dyDescent="0.2">
      <c r="A38" s="1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3"/>
    </row>
    <row r="39" spans="1:20" x14ac:dyDescent="0.2">
      <c r="A39" s="1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3"/>
    </row>
    <row r="40" spans="1:20" x14ac:dyDescent="0.2">
      <c r="A40" s="1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3"/>
    </row>
    <row r="41" spans="1:20" x14ac:dyDescent="0.2">
      <c r="A41" s="1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3"/>
    </row>
    <row r="42" spans="1:20" x14ac:dyDescent="0.2">
      <c r="A42" s="1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3"/>
    </row>
    <row r="43" spans="1:20" x14ac:dyDescent="0.2">
      <c r="A43" s="1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3"/>
    </row>
    <row r="44" spans="1:20" x14ac:dyDescent="0.2">
      <c r="A44" s="1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3"/>
    </row>
    <row r="45" spans="1:20" x14ac:dyDescent="0.2">
      <c r="A45" s="1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3"/>
    </row>
    <row r="46" spans="1:20" x14ac:dyDescent="0.2">
      <c r="A46" s="1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3"/>
    </row>
    <row r="47" spans="1:20" x14ac:dyDescent="0.2">
      <c r="A47" s="1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3"/>
    </row>
    <row r="48" spans="1:20" x14ac:dyDescent="0.2">
      <c r="A48" s="1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3"/>
    </row>
    <row r="49" spans="1:20" x14ac:dyDescent="0.2">
      <c r="A49" s="1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3"/>
    </row>
    <row r="50" spans="1:20" x14ac:dyDescent="0.2">
      <c r="A50" s="1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3"/>
    </row>
    <row r="51" spans="1:20" x14ac:dyDescent="0.2">
      <c r="A51" s="1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3"/>
    </row>
    <row r="52" spans="1:20" x14ac:dyDescent="0.2">
      <c r="A52" s="11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3"/>
    </row>
    <row r="53" spans="1:20" x14ac:dyDescent="0.2">
      <c r="A53" s="11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3"/>
    </row>
    <row r="54" spans="1:20" x14ac:dyDescent="0.2">
      <c r="A54" s="1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3"/>
    </row>
    <row r="55" spans="1:20" x14ac:dyDescent="0.2">
      <c r="A55" s="11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"/>
    </row>
    <row r="56" spans="1:20" x14ac:dyDescent="0.2">
      <c r="A56" s="1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3"/>
    </row>
    <row r="57" spans="1:20" x14ac:dyDescent="0.2">
      <c r="A57" s="11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3"/>
    </row>
    <row r="58" spans="1:20" x14ac:dyDescent="0.2">
      <c r="A58" s="11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3"/>
    </row>
    <row r="59" spans="1:20" x14ac:dyDescent="0.2">
      <c r="A59" s="1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3"/>
    </row>
    <row r="60" spans="1:20" x14ac:dyDescent="0.2">
      <c r="A60" s="1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3"/>
    </row>
    <row r="61" spans="1:20" x14ac:dyDescent="0.2">
      <c r="A61" s="1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3"/>
    </row>
    <row r="62" spans="1:20" x14ac:dyDescent="0.2">
      <c r="A62" s="1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3"/>
    </row>
    <row r="63" spans="1:20" x14ac:dyDescent="0.2">
      <c r="A63" s="1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3"/>
    </row>
    <row r="64" spans="1:20" x14ac:dyDescent="0.2">
      <c r="A64" s="1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3"/>
    </row>
    <row r="65" spans="1:20" x14ac:dyDescent="0.2">
      <c r="A65" s="1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3"/>
    </row>
    <row r="66" spans="1:20" x14ac:dyDescent="0.2">
      <c r="A66" s="1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3"/>
    </row>
    <row r="67" spans="1:20" x14ac:dyDescent="0.2">
      <c r="A67" s="1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3"/>
    </row>
    <row r="68" spans="1:20" x14ac:dyDescent="0.2">
      <c r="A68" s="1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3"/>
    </row>
    <row r="69" spans="1:20" x14ac:dyDescent="0.2">
      <c r="A69" s="1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3"/>
    </row>
    <row r="70" spans="1:20" x14ac:dyDescent="0.2">
      <c r="A70" s="1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3"/>
    </row>
    <row r="71" spans="1:20" x14ac:dyDescent="0.2">
      <c r="A71" s="1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3"/>
    </row>
    <row r="72" spans="1:20" x14ac:dyDescent="0.2">
      <c r="A72" s="1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13"/>
    </row>
    <row r="73" spans="1:20" x14ac:dyDescent="0.2">
      <c r="A73" s="1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13"/>
    </row>
    <row r="74" spans="1:20" x14ac:dyDescent="0.2">
      <c r="A74" s="1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13"/>
    </row>
    <row r="75" spans="1:20" x14ac:dyDescent="0.2">
      <c r="A75" s="1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13"/>
    </row>
    <row r="76" spans="1:20" x14ac:dyDescent="0.2">
      <c r="A76" s="1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13"/>
    </row>
    <row r="77" spans="1:20" x14ac:dyDescent="0.2">
      <c r="A77" s="1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13"/>
    </row>
    <row r="78" spans="1:20" x14ac:dyDescent="0.2">
      <c r="A78" s="1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13"/>
    </row>
    <row r="79" spans="1:20" x14ac:dyDescent="0.2">
      <c r="A79" s="1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13"/>
    </row>
    <row r="80" spans="1:20" x14ac:dyDescent="0.2">
      <c r="A80" s="1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13"/>
    </row>
    <row r="81" spans="1:20" x14ac:dyDescent="0.2">
      <c r="A81" s="1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13"/>
    </row>
    <row r="82" spans="1:20" x14ac:dyDescent="0.2">
      <c r="A82" s="1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13"/>
    </row>
    <row r="83" spans="1:20" x14ac:dyDescent="0.2">
      <c r="A83" s="1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13"/>
    </row>
    <row r="84" spans="1:20" x14ac:dyDescent="0.2">
      <c r="A84" s="1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13"/>
    </row>
    <row r="85" spans="1:20" x14ac:dyDescent="0.2">
      <c r="A85" s="1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13"/>
    </row>
    <row r="86" spans="1:20" x14ac:dyDescent="0.2">
      <c r="A86" s="1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13"/>
    </row>
    <row r="87" spans="1:20" x14ac:dyDescent="0.2">
      <c r="A87" s="1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13"/>
    </row>
    <row r="88" spans="1:20" x14ac:dyDescent="0.2">
      <c r="A88" s="1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13"/>
    </row>
    <row r="89" spans="1:20" x14ac:dyDescent="0.2">
      <c r="A89" s="1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13"/>
    </row>
    <row r="90" spans="1:20" x14ac:dyDescent="0.2">
      <c r="A90" s="1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13"/>
    </row>
    <row r="91" spans="1:20" x14ac:dyDescent="0.2">
      <c r="A91" s="1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13"/>
    </row>
    <row r="92" spans="1:20" x14ac:dyDescent="0.2">
      <c r="A92" s="1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13"/>
    </row>
    <row r="93" spans="1:20" x14ac:dyDescent="0.2">
      <c r="A93" s="1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13"/>
    </row>
    <row r="94" spans="1:20" x14ac:dyDescent="0.2">
      <c r="A94" s="1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13"/>
    </row>
    <row r="95" spans="1:20" x14ac:dyDescent="0.2">
      <c r="A95" s="1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13"/>
    </row>
    <row r="96" spans="1:20" x14ac:dyDescent="0.2">
      <c r="A96" s="1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13"/>
    </row>
    <row r="97" spans="1:20" x14ac:dyDescent="0.2">
      <c r="A97" s="1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13"/>
    </row>
    <row r="98" spans="1:20" x14ac:dyDescent="0.2">
      <c r="A98" s="1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13"/>
    </row>
    <row r="99" spans="1:20" x14ac:dyDescent="0.2">
      <c r="A99" s="1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13"/>
    </row>
    <row r="100" spans="1:20" x14ac:dyDescent="0.2">
      <c r="A100" s="1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3"/>
    </row>
    <row r="101" spans="1:20" x14ac:dyDescent="0.2">
      <c r="A101" s="1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3"/>
    </row>
    <row r="102" spans="1:20" x14ac:dyDescent="0.2">
      <c r="A102" s="1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13"/>
    </row>
    <row r="103" spans="1:20" x14ac:dyDescent="0.2">
      <c r="A103" s="1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13"/>
    </row>
    <row r="104" spans="1:20" x14ac:dyDescent="0.2">
      <c r="A104" s="1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13"/>
    </row>
    <row r="105" spans="1:20" x14ac:dyDescent="0.2">
      <c r="A105" s="1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13"/>
    </row>
    <row r="106" spans="1:20" x14ac:dyDescent="0.2">
      <c r="A106" s="1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13"/>
    </row>
    <row r="107" spans="1:20" x14ac:dyDescent="0.2">
      <c r="A107" s="1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13"/>
    </row>
    <row r="108" spans="1:20" x14ac:dyDescent="0.2">
      <c r="A108" s="1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13"/>
    </row>
    <row r="109" spans="1:20" x14ac:dyDescent="0.2">
      <c r="A109" s="1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13"/>
    </row>
    <row r="110" spans="1:20" x14ac:dyDescent="0.2">
      <c r="A110" s="1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13"/>
    </row>
    <row r="111" spans="1:20" x14ac:dyDescent="0.2">
      <c r="A111" s="1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13"/>
    </row>
    <row r="112" spans="1:20" x14ac:dyDescent="0.2">
      <c r="A112" s="1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13"/>
    </row>
    <row r="113" spans="1:20" x14ac:dyDescent="0.2">
      <c r="A113" s="1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13"/>
    </row>
    <row r="114" spans="1:20" x14ac:dyDescent="0.2">
      <c r="A114" s="1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13"/>
    </row>
    <row r="115" spans="1:20" x14ac:dyDescent="0.2">
      <c r="A115" s="1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13"/>
    </row>
    <row r="116" spans="1:20" x14ac:dyDescent="0.2">
      <c r="A116" s="1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13"/>
    </row>
    <row r="117" spans="1:20" x14ac:dyDescent="0.2">
      <c r="A117" s="1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13"/>
    </row>
    <row r="118" spans="1:20" x14ac:dyDescent="0.2">
      <c r="A118" s="1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13"/>
    </row>
    <row r="119" spans="1:20" x14ac:dyDescent="0.2">
      <c r="A119" s="1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17"/>
    </row>
  </sheetData>
  <mergeCells count="1">
    <mergeCell ref="B28:S28"/>
  </mergeCells>
  <phoneticPr fontId="0" type="noConversion"/>
  <printOptions horizontalCentered="1"/>
  <pageMargins left="0.25" right="0.25" top="0.48" bottom="0.47" header="0.5" footer="0.2"/>
  <pageSetup scale="90" orientation="portrait" r:id="rId1"/>
  <headerFooter alignWithMargins="0">
    <oddFooter>&amp;L&amp;"Times New Roman,Regular"&amp;8UMSL Fact Book&amp;C&amp;"Times New Roman,Regular"&amp;8&amp;F&amp;R&amp;"Times New Roman,Regular"&amp;8Last Updated FY2019</oddFooter>
  </headerFooter>
  <rowBreaks count="2" manualBreakCount="2">
    <brk id="29" max="16383" man="1"/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gifts</vt:lpstr>
      <vt:lpstr>gifts!Print_Area</vt:lpstr>
    </vt:vector>
  </TitlesOfParts>
  <Company>University of Mo. Saint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2020-01-09T14:08:45Z</cp:lastPrinted>
  <dcterms:created xsi:type="dcterms:W3CDTF">2002-02-06T16:16:39Z</dcterms:created>
  <dcterms:modified xsi:type="dcterms:W3CDTF">2020-01-09T20:13:49Z</dcterms:modified>
</cp:coreProperties>
</file>